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Nativ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<sst xmlns="http://schemas.openxmlformats.org/spreadsheetml/2006/main" count="65" uniqueCount="59">
  <si>
    <t>Native Prairie</t>
  </si>
  <si>
    <t>Perennial - Low Input</t>
  </si>
  <si>
    <t>Quantity</t>
  </si>
  <si>
    <t>Unit</t>
  </si>
  <si>
    <t>Price /Unit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</si>
  <si>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</si>
  <si>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</si>
  <si>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</si>
  <si>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</si>
  <si>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</si>
  <si>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</si>
  <si>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</si>
  <si>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</si>
  <si>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</si>
  <si>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</si>
  <si>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Total</t>
  </si>
  <si>
    <t>Present Value</t>
  </si>
  <si>
    <t>Annualized PV  (compare to corn yearly cost)</t>
  </si>
  <si>
    <t>REVENUE SOURCE</t>
  </si>
  <si>
    <t>Biomass</t>
  </si>
  <si>
    <t>ton</t>
  </si>
  <si>
    <t>Revenue Stream</t>
  </si>
  <si>
    <t>SELECT CASH EXPENSES</t>
  </si>
  <si>
    <t>Seed</t>
  </si>
  <si>
    <t>Mix</t>
  </si>
  <si>
    <t>PLS lb</t>
  </si>
  <si>
    <r>
      <t>Fertilizer</t>
    </r>
    <r>
      <rPr>
        <vertAlign val="superscript"/>
        <sz val="11"/>
        <color indexed="8"/>
        <rFont val="Calibri"/>
        <family val="2"/>
      </rPr>
      <t>1</t>
    </r>
  </si>
  <si>
    <t>Nitrogen</t>
  </si>
  <si>
    <t>lbs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</si>
  <si>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</si>
  <si>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t>lbs/ton</t>
  </si>
  <si>
    <r>
      <t>K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</si>
  <si>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Pest Control</t>
  </si>
  <si>
    <t>WSG spray</t>
  </si>
  <si>
    <t>acre</t>
  </si>
  <si>
    <t>Machine Costs</t>
  </si>
  <si>
    <t>Chisel Plow</t>
  </si>
  <si>
    <t>Soil Finish</t>
  </si>
  <si>
    <t>Grass Seeder, broadcast</t>
  </si>
  <si>
    <t>Sprayer</t>
  </si>
  <si>
    <t>Post-harvest</t>
  </si>
  <si>
    <t>Mower-condition (16')</t>
  </si>
  <si>
    <t>Raking - Hay 9ft</t>
  </si>
  <si>
    <t>Baling - lg round</t>
  </si>
  <si>
    <t>bale</t>
  </si>
  <si>
    <t>Bale-to-storage</t>
  </si>
  <si>
    <t>Trucking</t>
  </si>
  <si>
    <t>Marketing</t>
  </si>
  <si>
    <t>TOTAL CASH EXPENSES</t>
  </si>
  <si>
    <t>REV ABOVE EXPENSES</t>
  </si>
  <si>
    <t>Labor</t>
  </si>
  <si>
    <t>hours/acre</t>
  </si>
  <si>
    <t>Calculation Assumptions:</t>
  </si>
  <si>
    <t>Interest Rate</t>
  </si>
  <si>
    <t>Years of Production</t>
  </si>
  <si>
    <t>(1+i)^n - 1</t>
  </si>
  <si>
    <t>Extension Bulletin E-3084, Profitability of Converting to Biofuel Crops</t>
  </si>
  <si>
    <t>i(1+i)^n</t>
  </si>
  <si>
    <t>Web: http://bioenergy.msu.edu/economics/index.shtml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</si>
</sst>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" fontId="0" fillId="0" borderId="11" xfId="0" applyNumberFormat="1" applyFill="1" applyBorder="1" applyAlignment="1">
      <alignment/>
    </xf>
    <xf numFmtId="166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38</xdr:row>
      <xdr:rowOff>104775</xdr:rowOff>
    </xdr:from>
    <xdr:to>
      <xdr:col>9</xdr:col>
      <xdr:colOff>428625</xdr:colOff>
      <xdr:row>41</xdr:row>
      <xdr:rowOff>104775</xdr:rowOff>
    </xdr:to>
    <xdr:pic>
      <xdr:nvPicPr>
        <xdr:cNvPr id="1" name="Picture 1" descr="msue11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7867650"/>
          <a:ext cx="1304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nnis%20Pennington\Documents\Biofuels\Fact%20Sheets\Economics%20James\GLBRC_CellulosicCropBudgets_bulletin_dec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CHARTS"/>
      <sheetName val="Results"/>
      <sheetName val="Input Tables"/>
      <sheetName val="Analysis"/>
      <sheetName val="Agronomy"/>
      <sheetName val="Calculations"/>
      <sheetName val="Assumptions"/>
      <sheetName val="G1 Corn"/>
      <sheetName val="G5 Switch"/>
      <sheetName val="G7 Grass"/>
      <sheetName val="G9 Natv Pr"/>
      <sheetName val="G6 Miscan"/>
      <sheetName val="G6a Miscan-cheap"/>
      <sheetName val="G8 Poplar"/>
      <sheetName val="G10 Old F"/>
      <sheetName val="G2 C-S-Ca"/>
      <sheetName val="G3 Soy"/>
      <sheetName val="G4 Canola"/>
    </sheetNames>
    <sheetDataSet>
      <sheetData sheetId="7">
        <row r="22">
          <cell r="D22">
            <v>65</v>
          </cell>
        </row>
        <row r="29">
          <cell r="D29">
            <v>0.45961850649350655</v>
          </cell>
        </row>
        <row r="30">
          <cell r="D30">
            <v>0.6166666666666667</v>
          </cell>
        </row>
        <row r="31">
          <cell r="D31">
            <v>0.6312500000000001</v>
          </cell>
        </row>
        <row r="45">
          <cell r="D45">
            <v>13.742537500000001</v>
          </cell>
        </row>
        <row r="71">
          <cell r="D71">
            <v>9</v>
          </cell>
        </row>
        <row r="73">
          <cell r="D73">
            <v>14.17</v>
          </cell>
        </row>
        <row r="74">
          <cell r="D74">
            <v>11.1</v>
          </cell>
        </row>
        <row r="79">
          <cell r="D79">
            <v>5.6</v>
          </cell>
        </row>
        <row r="84">
          <cell r="C84" t="str">
            <v>acre</v>
          </cell>
          <cell r="D84">
            <v>13.5</v>
          </cell>
        </row>
        <row r="85">
          <cell r="C85" t="str">
            <v>acre</v>
          </cell>
          <cell r="D85">
            <v>6</v>
          </cell>
        </row>
        <row r="87">
          <cell r="D87">
            <v>8.35</v>
          </cell>
        </row>
        <row r="88">
          <cell r="C88" t="str">
            <v>bale</v>
          </cell>
          <cell r="D88">
            <v>3.1</v>
          </cell>
        </row>
        <row r="99">
          <cell r="D99">
            <v>3</v>
          </cell>
        </row>
        <row r="107">
          <cell r="C107">
            <v>0.035</v>
          </cell>
        </row>
        <row r="124">
          <cell r="D124">
            <v>2.141</v>
          </cell>
          <cell r="E124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="80" zoomScaleNormal="80" zoomScalePageLayoutView="0" workbookViewId="0" topLeftCell="A7">
      <selection activeCell="L39" sqref="L39"/>
    </sheetView>
  </sheetViews>
  <sheetFormatPr defaultColWidth="9.140625" defaultRowHeight="15"/>
  <cols>
    <col min="1" max="1" width="9.140625" style="3" customWidth="1"/>
    <col min="2" max="2" width="22.421875" style="3" bestFit="1" customWidth="1"/>
    <col min="3" max="3" width="8.7109375" style="3" bestFit="1" customWidth="1"/>
    <col min="4" max="4" width="10.57421875" style="3" bestFit="1" customWidth="1"/>
    <col min="5" max="5" width="10.421875" style="3" bestFit="1" customWidth="1"/>
    <col min="6" max="15" width="7.140625" style="4" customWidth="1"/>
    <col min="16" max="17" width="9.140625" style="4" customWidth="1"/>
    <col min="18" max="18" width="17.00390625" style="3" customWidth="1"/>
    <col min="19" max="19" width="16.140625" style="4" customWidth="1"/>
    <col min="20" max="16384" width="9.140625" style="3" customWidth="1"/>
  </cols>
  <sheetData>
    <row r="1" spans="1:17" ht="1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45">
      <c r="A3" s="5"/>
      <c r="B3" s="5"/>
      <c r="C3" s="5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  <c r="Q3" s="8" t="s">
        <v>16</v>
      </c>
      <c r="R3" s="8" t="s">
        <v>17</v>
      </c>
    </row>
    <row r="4" spans="1:17" ht="15">
      <c r="A4" s="1" t="s">
        <v>18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15">
      <c r="A5" s="1"/>
      <c r="B5" s="1" t="s">
        <v>19</v>
      </c>
      <c r="C5" s="9">
        <f>'[1]Assumptions'!D124</f>
        <v>2.141</v>
      </c>
      <c r="D5" s="1" t="s">
        <v>20</v>
      </c>
      <c r="E5" s="10">
        <f>'[1]Assumptions'!E124</f>
        <v>60</v>
      </c>
      <c r="F5" s="2">
        <v>0</v>
      </c>
      <c r="G5" s="2">
        <f>0.5*$C5</f>
        <v>1.0705</v>
      </c>
      <c r="H5" s="2">
        <f>$C5</f>
        <v>2.141</v>
      </c>
      <c r="I5" s="2">
        <f aca="true" t="shared" si="0" ref="I5:O5">$C5</f>
        <v>2.141</v>
      </c>
      <c r="J5" s="2">
        <f t="shared" si="0"/>
        <v>2.141</v>
      </c>
      <c r="K5" s="2">
        <f t="shared" si="0"/>
        <v>2.141</v>
      </c>
      <c r="L5" s="2">
        <f t="shared" si="0"/>
        <v>2.141</v>
      </c>
      <c r="M5" s="2">
        <f t="shared" si="0"/>
        <v>2.141</v>
      </c>
      <c r="N5" s="2">
        <f t="shared" si="0"/>
        <v>2.141</v>
      </c>
      <c r="O5" s="2">
        <f t="shared" si="0"/>
        <v>2.141</v>
      </c>
      <c r="P5" s="2"/>
      <c r="Q5" s="1"/>
      <c r="R5" s="4"/>
      <c r="S5" s="3"/>
    </row>
    <row r="6" spans="1:19" ht="15">
      <c r="A6" s="1"/>
      <c r="B6" s="1" t="s">
        <v>21</v>
      </c>
      <c r="C6" s="1"/>
      <c r="D6" s="1"/>
      <c r="E6" s="10"/>
      <c r="F6" s="11">
        <f>F$5</f>
        <v>0</v>
      </c>
      <c r="G6" s="11">
        <f>$E5*G5</f>
        <v>64.23</v>
      </c>
      <c r="H6" s="11">
        <f>H5*$E5</f>
        <v>128.46</v>
      </c>
      <c r="I6" s="11">
        <f aca="true" t="shared" si="1" ref="I6:O6">I5*$E5</f>
        <v>128.46</v>
      </c>
      <c r="J6" s="11">
        <f t="shared" si="1"/>
        <v>128.46</v>
      </c>
      <c r="K6" s="11">
        <f t="shared" si="1"/>
        <v>128.46</v>
      </c>
      <c r="L6" s="11">
        <f t="shared" si="1"/>
        <v>128.46</v>
      </c>
      <c r="M6" s="11">
        <f t="shared" si="1"/>
        <v>128.46</v>
      </c>
      <c r="N6" s="11">
        <f t="shared" si="1"/>
        <v>128.46</v>
      </c>
      <c r="O6" s="11">
        <f t="shared" si="1"/>
        <v>128.46</v>
      </c>
      <c r="P6" s="11">
        <f>SUM(F6:O6)</f>
        <v>1091.91</v>
      </c>
      <c r="Q6" s="11">
        <f>NPV(0.05,F6:O6)</f>
        <v>811.3327084588632</v>
      </c>
      <c r="R6" s="11">
        <f>P6/($C$40/$C$41)</f>
        <v>141.40734045053185</v>
      </c>
      <c r="S6" s="3"/>
    </row>
    <row r="7" spans="1:19" ht="15">
      <c r="A7" s="5" t="s">
        <v>22</v>
      </c>
      <c r="B7" s="5"/>
      <c r="C7" s="5"/>
      <c r="D7" s="5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3"/>
    </row>
    <row r="8" spans="1:19" ht="15">
      <c r="A8" s="1" t="s">
        <v>23</v>
      </c>
      <c r="B8" s="1" t="s">
        <v>24</v>
      </c>
      <c r="C8" s="1">
        <v>7.5</v>
      </c>
      <c r="D8" s="1" t="s">
        <v>25</v>
      </c>
      <c r="E8" s="10">
        <f>'[1]Assumptions'!D22</f>
        <v>65</v>
      </c>
      <c r="F8" s="11">
        <f>$C8*$E8</f>
        <v>487.5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>SUM(F8:O8)</f>
        <v>487.5</v>
      </c>
      <c r="Q8" s="11">
        <f aca="true" t="shared" si="2" ref="Q8:Q30">NPV(0.05,F8:O8)</f>
        <v>464.2857142857143</v>
      </c>
      <c r="R8" s="11">
        <f>P8/($C$40/$C$41)</f>
        <v>63.13348029566014</v>
      </c>
      <c r="S8" s="3"/>
    </row>
    <row r="9" spans="1:19" ht="15">
      <c r="A9" s="5"/>
      <c r="B9" s="5"/>
      <c r="C9" s="5"/>
      <c r="D9" s="5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3"/>
    </row>
    <row r="10" spans="1:19" ht="17.25">
      <c r="A10" s="1" t="s">
        <v>26</v>
      </c>
      <c r="B10" s="1"/>
      <c r="C10" s="1"/>
      <c r="D10" s="1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"/>
    </row>
    <row r="11" spans="1:19" ht="15">
      <c r="A11" s="1"/>
      <c r="B11" s="3" t="s">
        <v>27</v>
      </c>
      <c r="C11" s="1">
        <v>0</v>
      </c>
      <c r="D11" s="1" t="s">
        <v>28</v>
      </c>
      <c r="E11" s="10">
        <f>'[1]Assumptions'!D29</f>
        <v>0.45961850649350655</v>
      </c>
      <c r="F11" s="11">
        <f aca="true" t="shared" si="3" ref="F11:O13">$C11*$E11</f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11">
        <f>SUM(F11:O11)</f>
        <v>0</v>
      </c>
      <c r="Q11" s="11">
        <f t="shared" si="2"/>
        <v>0</v>
      </c>
      <c r="R11" s="11">
        <f>P11/($C$40/$C$41)</f>
        <v>0</v>
      </c>
      <c r="S11" s="3"/>
    </row>
    <row r="12" spans="1:19" ht="18">
      <c r="A12" s="1"/>
      <c r="B12" s="3" t="s">
        <v>29</v>
      </c>
      <c r="C12" s="1">
        <v>0</v>
      </c>
      <c r="D12" s="1" t="s">
        <v>30</v>
      </c>
      <c r="E12" s="10">
        <f>'[1]Assumptions'!D30</f>
        <v>0.6166666666666667</v>
      </c>
      <c r="F12" s="11">
        <f t="shared" si="3"/>
        <v>0</v>
      </c>
      <c r="G12" s="11">
        <f t="shared" si="3"/>
        <v>0</v>
      </c>
      <c r="H12" s="11">
        <f t="shared" si="3"/>
        <v>0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 t="shared" si="3"/>
        <v>0</v>
      </c>
      <c r="O12" s="11">
        <f t="shared" si="3"/>
        <v>0</v>
      </c>
      <c r="P12" s="11">
        <f>SUM(F12:O12)</f>
        <v>0</v>
      </c>
      <c r="Q12" s="11">
        <f t="shared" si="2"/>
        <v>0</v>
      </c>
      <c r="R12" s="11">
        <f>P12/($C$40/$C$41)</f>
        <v>0</v>
      </c>
      <c r="S12" s="3"/>
    </row>
    <row r="13" spans="1:19" ht="18">
      <c r="A13" s="14"/>
      <c r="B13" s="15" t="s">
        <v>31</v>
      </c>
      <c r="C13" s="14">
        <v>0</v>
      </c>
      <c r="D13" s="14" t="s">
        <v>30</v>
      </c>
      <c r="E13" s="16">
        <f>'[1]Assumptions'!D31</f>
        <v>0.6312500000000001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>SUM(F13:O13)</f>
        <v>0</v>
      </c>
      <c r="Q13" s="17">
        <f t="shared" si="2"/>
        <v>0</v>
      </c>
      <c r="R13" s="17">
        <f>P13/($C$40/$C$41)</f>
        <v>0</v>
      </c>
      <c r="S13" s="3"/>
    </row>
    <row r="14" spans="1:19" ht="18">
      <c r="A14" s="5"/>
      <c r="B14" s="18"/>
      <c r="C14" s="5"/>
      <c r="D14" s="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"/>
    </row>
    <row r="15" spans="1:19" ht="15">
      <c r="A15" s="1" t="s">
        <v>32</v>
      </c>
      <c r="B15" s="1"/>
      <c r="C15" s="1"/>
      <c r="D15" s="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3"/>
    </row>
    <row r="16" spans="1:19" ht="15">
      <c r="A16" s="1"/>
      <c r="B16" s="1" t="s">
        <v>33</v>
      </c>
      <c r="C16" s="1">
        <v>1</v>
      </c>
      <c r="D16" s="1" t="s">
        <v>34</v>
      </c>
      <c r="E16" s="10">
        <f>'[1]Assumptions'!D45</f>
        <v>13.742537500000001</v>
      </c>
      <c r="F16" s="11">
        <f>$C16*$E16*2</f>
        <v>27.485075000000002</v>
      </c>
      <c r="G16" s="11">
        <f>$C16*$E16</f>
        <v>13.742537500000001</v>
      </c>
      <c r="H16" s="11">
        <v>0</v>
      </c>
      <c r="I16" s="11">
        <f>$C16*$E16</f>
        <v>13.742537500000001</v>
      </c>
      <c r="J16" s="11">
        <v>0</v>
      </c>
      <c r="K16" s="11">
        <f>$C16*$E16</f>
        <v>13.742537500000001</v>
      </c>
      <c r="L16" s="11">
        <v>0</v>
      </c>
      <c r="M16" s="11">
        <f>$C16*$E16</f>
        <v>13.742537500000001</v>
      </c>
      <c r="N16" s="11">
        <v>0</v>
      </c>
      <c r="O16" s="11">
        <f>$C16*$E16</f>
        <v>13.742537500000001</v>
      </c>
      <c r="P16" s="11">
        <f>SUM(F16:O16)</f>
        <v>96.1977625</v>
      </c>
      <c r="Q16" s="11">
        <f t="shared" si="2"/>
        <v>77.94027743128976</v>
      </c>
      <c r="R16" s="11">
        <f>P16/($C$40/$C$41)</f>
        <v>12.458050345190449</v>
      </c>
      <c r="S16" s="3"/>
    </row>
    <row r="17" spans="1:19" ht="15">
      <c r="A17" s="5"/>
      <c r="B17" s="5"/>
      <c r="C17" s="5"/>
      <c r="D17" s="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3"/>
    </row>
    <row r="18" spans="1:19" ht="15">
      <c r="A18" s="1" t="s">
        <v>35</v>
      </c>
      <c r="B18" s="1"/>
      <c r="C18" s="1"/>
      <c r="D18" s="1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</row>
    <row r="19" spans="1:19" ht="15">
      <c r="A19" s="1"/>
      <c r="B19" s="1" t="s">
        <v>36</v>
      </c>
      <c r="C19" s="1">
        <v>1</v>
      </c>
      <c r="D19" s="1" t="s">
        <v>34</v>
      </c>
      <c r="E19" s="10">
        <f>'[1]Assumptions'!D73</f>
        <v>14.17</v>
      </c>
      <c r="F19" s="11">
        <f>$C19*$E19</f>
        <v>14.17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>SUM(F19:O19)</f>
        <v>14.17</v>
      </c>
      <c r="Q19" s="11">
        <f t="shared" si="2"/>
        <v>13.495238095238095</v>
      </c>
      <c r="R19" s="11">
        <f>P19/($C$40/$C$41)</f>
        <v>1.8350798272605213</v>
      </c>
      <c r="S19" s="3"/>
    </row>
    <row r="20" spans="1:19" ht="15">
      <c r="A20" s="1"/>
      <c r="B20" s="1" t="s">
        <v>37</v>
      </c>
      <c r="C20" s="1">
        <v>1</v>
      </c>
      <c r="D20" s="1" t="s">
        <v>34</v>
      </c>
      <c r="E20" s="10">
        <f>'[1]Assumptions'!D74</f>
        <v>11.1</v>
      </c>
      <c r="F20" s="11">
        <f>$C20*$E20</f>
        <v>11.1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SUM(F20:O20)</f>
        <v>11.1</v>
      </c>
      <c r="Q20" s="11">
        <f t="shared" si="2"/>
        <v>10.571428571428571</v>
      </c>
      <c r="R20" s="11">
        <f>P20/($C$40/$C$41)</f>
        <v>1.4375007821165693</v>
      </c>
      <c r="S20" s="3"/>
    </row>
    <row r="21" spans="1:19" ht="15">
      <c r="A21" s="1"/>
      <c r="B21" s="1" t="s">
        <v>38</v>
      </c>
      <c r="C21" s="1">
        <v>1</v>
      </c>
      <c r="D21" s="1" t="s">
        <v>34</v>
      </c>
      <c r="E21" s="10">
        <f>'[1]Assumptions'!D71</f>
        <v>9</v>
      </c>
      <c r="F21" s="11">
        <f>$C21*$E21</f>
        <v>9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>SUM(F21:O21)</f>
        <v>9</v>
      </c>
      <c r="Q21" s="11">
        <f t="shared" si="2"/>
        <v>8.571428571428571</v>
      </c>
      <c r="R21" s="11">
        <f>P21/($C$40/$C$41)</f>
        <v>1.1655411746891102</v>
      </c>
      <c r="S21" s="3"/>
    </row>
    <row r="22" spans="1:19" ht="15">
      <c r="A22" s="1"/>
      <c r="B22" s="1" t="s">
        <v>39</v>
      </c>
      <c r="C22" s="1">
        <v>2</v>
      </c>
      <c r="D22" s="1" t="s">
        <v>34</v>
      </c>
      <c r="E22" s="10">
        <f>'[1]Assumptions'!D79</f>
        <v>5.6</v>
      </c>
      <c r="F22" s="11">
        <f>C22*E22</f>
        <v>11.2</v>
      </c>
      <c r="G22" s="11">
        <f>E22</f>
        <v>5.6</v>
      </c>
      <c r="H22" s="11">
        <v>0</v>
      </c>
      <c r="I22" s="11">
        <f>E22</f>
        <v>5.6</v>
      </c>
      <c r="J22" s="11">
        <v>0</v>
      </c>
      <c r="K22" s="11">
        <f>E22</f>
        <v>5.6</v>
      </c>
      <c r="L22" s="11">
        <v>0</v>
      </c>
      <c r="M22" s="11">
        <f>E22</f>
        <v>5.6</v>
      </c>
      <c r="N22" s="11">
        <v>0</v>
      </c>
      <c r="O22" s="11">
        <f>E22</f>
        <v>5.6</v>
      </c>
      <c r="P22" s="11">
        <f>SUM(F22:O22)</f>
        <v>39.2</v>
      </c>
      <c r="Q22" s="11">
        <f t="shared" si="2"/>
        <v>31.760186473220298</v>
      </c>
      <c r="R22" s="11">
        <f>P22/($C$40/$C$41)</f>
        <v>5.076579338645903</v>
      </c>
      <c r="S22" s="3"/>
    </row>
    <row r="23" spans="1:19" ht="15">
      <c r="A23" s="5"/>
      <c r="B23" s="5"/>
      <c r="C23" s="5"/>
      <c r="D23" s="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"/>
    </row>
    <row r="24" spans="1:19" ht="15">
      <c r="A24" s="1" t="s">
        <v>40</v>
      </c>
      <c r="B24" s="1"/>
      <c r="C24" s="1"/>
      <c r="D24" s="1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3"/>
    </row>
    <row r="25" spans="1:19" ht="15">
      <c r="A25" s="1"/>
      <c r="B25" s="1" t="s">
        <v>41</v>
      </c>
      <c r="C25" s="1">
        <v>1</v>
      </c>
      <c r="D25" s="1" t="str">
        <f>'[1]Assumptions'!C84</f>
        <v>acre</v>
      </c>
      <c r="E25" s="10">
        <f>'[1]Assumptions'!D84</f>
        <v>13.5</v>
      </c>
      <c r="F25" s="11">
        <v>0</v>
      </c>
      <c r="G25" s="11">
        <f>$E25*0.5</f>
        <v>6.75</v>
      </c>
      <c r="H25" s="11">
        <f>$E25</f>
        <v>13.5</v>
      </c>
      <c r="I25" s="11">
        <f aca="true" t="shared" si="4" ref="I25:O26">$E25</f>
        <v>13.5</v>
      </c>
      <c r="J25" s="11">
        <f t="shared" si="4"/>
        <v>13.5</v>
      </c>
      <c r="K25" s="11">
        <f t="shared" si="4"/>
        <v>13.5</v>
      </c>
      <c r="L25" s="11">
        <f t="shared" si="4"/>
        <v>13.5</v>
      </c>
      <c r="M25" s="11">
        <f t="shared" si="4"/>
        <v>13.5</v>
      </c>
      <c r="N25" s="11">
        <f t="shared" si="4"/>
        <v>13.5</v>
      </c>
      <c r="O25" s="11">
        <f t="shared" si="4"/>
        <v>13.5</v>
      </c>
      <c r="P25" s="11">
        <f aca="true" t="shared" si="5" ref="P25:P30">SUM(F25:O25)</f>
        <v>114.75</v>
      </c>
      <c r="Q25" s="11">
        <f t="shared" si="2"/>
        <v>85.26382970726026</v>
      </c>
      <c r="R25" s="11">
        <f>P25/($C$40/$C$41)</f>
        <v>14.860649977286156</v>
      </c>
      <c r="S25" s="3"/>
    </row>
    <row r="26" spans="1:19" ht="15">
      <c r="A26" s="1"/>
      <c r="B26" s="1" t="s">
        <v>42</v>
      </c>
      <c r="C26" s="1">
        <v>1</v>
      </c>
      <c r="D26" s="1" t="str">
        <f>'[1]Assumptions'!C85</f>
        <v>acre</v>
      </c>
      <c r="E26" s="10">
        <f>'[1]Assumptions'!D85</f>
        <v>6</v>
      </c>
      <c r="F26" s="11">
        <v>0</v>
      </c>
      <c r="G26" s="11">
        <f>$E26*0.5</f>
        <v>3</v>
      </c>
      <c r="H26" s="11">
        <f>$E26</f>
        <v>6</v>
      </c>
      <c r="I26" s="11">
        <f t="shared" si="4"/>
        <v>6</v>
      </c>
      <c r="J26" s="11">
        <f t="shared" si="4"/>
        <v>6</v>
      </c>
      <c r="K26" s="11">
        <f t="shared" si="4"/>
        <v>6</v>
      </c>
      <c r="L26" s="11">
        <f t="shared" si="4"/>
        <v>6</v>
      </c>
      <c r="M26" s="11">
        <f t="shared" si="4"/>
        <v>6</v>
      </c>
      <c r="N26" s="11">
        <f t="shared" si="4"/>
        <v>6</v>
      </c>
      <c r="O26" s="11">
        <f t="shared" si="4"/>
        <v>6</v>
      </c>
      <c r="P26" s="11">
        <f t="shared" si="5"/>
        <v>51</v>
      </c>
      <c r="Q26" s="11">
        <f t="shared" si="2"/>
        <v>37.895035425449</v>
      </c>
      <c r="R26" s="11">
        <f>P26/($C$40/$C$41)</f>
        <v>6.604733323238292</v>
      </c>
      <c r="S26" s="3"/>
    </row>
    <row r="27" spans="1:19" ht="15">
      <c r="A27" s="1"/>
      <c r="B27" s="1" t="s">
        <v>43</v>
      </c>
      <c r="C27" s="19">
        <f>(C5*2000)/1500</f>
        <v>2.8546666666666667</v>
      </c>
      <c r="D27" s="1" t="s">
        <v>44</v>
      </c>
      <c r="E27" s="10">
        <f>'[1]Assumptions'!D87</f>
        <v>8.35</v>
      </c>
      <c r="F27" s="11">
        <v>0</v>
      </c>
      <c r="G27" s="11">
        <f>(G$5*2000/1500)*$E27</f>
        <v>11.918233333333333</v>
      </c>
      <c r="H27" s="11">
        <f>(H$5*2000/1500)*$E27</f>
        <v>23.836466666666666</v>
      </c>
      <c r="I27" s="11">
        <f aca="true" t="shared" si="6" ref="H27:P28">(I$5*2000/1500)*$E27</f>
        <v>23.836466666666666</v>
      </c>
      <c r="J27" s="11">
        <f t="shared" si="6"/>
        <v>23.836466666666666</v>
      </c>
      <c r="K27" s="11">
        <f t="shared" si="6"/>
        <v>23.836466666666666</v>
      </c>
      <c r="L27" s="11">
        <f t="shared" si="6"/>
        <v>23.836466666666666</v>
      </c>
      <c r="M27" s="11">
        <f t="shared" si="6"/>
        <v>23.836466666666666</v>
      </c>
      <c r="N27" s="11">
        <f t="shared" si="6"/>
        <v>23.836466666666666</v>
      </c>
      <c r="O27" s="11">
        <f t="shared" si="6"/>
        <v>23.836466666666666</v>
      </c>
      <c r="P27" s="11">
        <f t="shared" si="5"/>
        <v>202.60996666666668</v>
      </c>
      <c r="Q27" s="11">
        <f t="shared" si="2"/>
        <v>150.54729145847793</v>
      </c>
      <c r="R27" s="11">
        <f>P27/($C$40/$C$41)</f>
        <v>26.238917616932017</v>
      </c>
      <c r="S27" s="3"/>
    </row>
    <row r="28" spans="1:19" ht="15">
      <c r="A28" s="1"/>
      <c r="B28" s="1" t="s">
        <v>45</v>
      </c>
      <c r="C28" s="19">
        <f>(C5*2000)/1500</f>
        <v>2.8546666666666667</v>
      </c>
      <c r="D28" s="1" t="str">
        <f>'[1]Assumptions'!C88</f>
        <v>bale</v>
      </c>
      <c r="E28" s="10">
        <f>'[1]Assumptions'!D88</f>
        <v>3.1</v>
      </c>
      <c r="F28" s="11">
        <v>0</v>
      </c>
      <c r="G28" s="11">
        <f>(G$5*2000/1500)*$E28</f>
        <v>4.424733333333333</v>
      </c>
      <c r="H28" s="11">
        <f t="shared" si="6"/>
        <v>8.849466666666666</v>
      </c>
      <c r="I28" s="11">
        <f t="shared" si="6"/>
        <v>8.849466666666666</v>
      </c>
      <c r="J28" s="11">
        <f t="shared" si="6"/>
        <v>8.849466666666666</v>
      </c>
      <c r="K28" s="11">
        <f t="shared" si="6"/>
        <v>8.849466666666666</v>
      </c>
      <c r="L28" s="11">
        <f t="shared" si="6"/>
        <v>8.849466666666666</v>
      </c>
      <c r="M28" s="11">
        <f t="shared" si="6"/>
        <v>8.849466666666666</v>
      </c>
      <c r="N28" s="11">
        <f t="shared" si="6"/>
        <v>8.849466666666666</v>
      </c>
      <c r="O28" s="11">
        <f t="shared" si="6"/>
        <v>8.849466666666666</v>
      </c>
      <c r="P28" s="11">
        <f t="shared" si="5"/>
        <v>75.22046666666667</v>
      </c>
      <c r="Q28" s="11">
        <f t="shared" si="2"/>
        <v>55.89180880494389</v>
      </c>
      <c r="R28" s="11">
        <f>P28/($C$40/$C$41)</f>
        <v>9.74139456436997</v>
      </c>
      <c r="S28" s="3"/>
    </row>
    <row r="29" spans="1:19" ht="15">
      <c r="A29" s="1"/>
      <c r="B29" s="1" t="s">
        <v>46</v>
      </c>
      <c r="C29" s="19">
        <f>C5</f>
        <v>2.141</v>
      </c>
      <c r="D29" s="1" t="s">
        <v>20</v>
      </c>
      <c r="E29" s="10">
        <f>'[1]Assumptions'!D99</f>
        <v>3</v>
      </c>
      <c r="F29" s="11">
        <v>0</v>
      </c>
      <c r="G29" s="11">
        <f aca="true" t="shared" si="7" ref="G29:O29">$C29*$E29</f>
        <v>6.423</v>
      </c>
      <c r="H29" s="11">
        <f t="shared" si="7"/>
        <v>6.423</v>
      </c>
      <c r="I29" s="11">
        <f t="shared" si="7"/>
        <v>6.423</v>
      </c>
      <c r="J29" s="11">
        <f t="shared" si="7"/>
        <v>6.423</v>
      </c>
      <c r="K29" s="11">
        <f t="shared" si="7"/>
        <v>6.423</v>
      </c>
      <c r="L29" s="11">
        <f t="shared" si="7"/>
        <v>6.423</v>
      </c>
      <c r="M29" s="11">
        <f t="shared" si="7"/>
        <v>6.423</v>
      </c>
      <c r="N29" s="11">
        <f t="shared" si="7"/>
        <v>6.423</v>
      </c>
      <c r="O29" s="11">
        <f t="shared" si="7"/>
        <v>6.423</v>
      </c>
      <c r="P29" s="11">
        <f t="shared" si="5"/>
        <v>57.80700000000001</v>
      </c>
      <c r="Q29" s="11">
        <f t="shared" si="2"/>
        <v>43.47956059301118</v>
      </c>
      <c r="R29" s="11">
        <f>P29/($C$40/$C$41)</f>
        <v>7.486270965028156</v>
      </c>
      <c r="S29" s="3"/>
    </row>
    <row r="30" spans="1:19" ht="15">
      <c r="A30" s="1"/>
      <c r="B30" s="1" t="s">
        <v>47</v>
      </c>
      <c r="C30" s="19">
        <f>E5*C5</f>
        <v>128.46</v>
      </c>
      <c r="D30" s="1"/>
      <c r="E30" s="20">
        <f>'[1]Assumptions'!C107</f>
        <v>0.035</v>
      </c>
      <c r="F30" s="11">
        <f>$E$30*F5*$E$5</f>
        <v>0</v>
      </c>
      <c r="G30" s="11">
        <f>$E$30*G5*$E$5</f>
        <v>2.24805</v>
      </c>
      <c r="H30" s="11">
        <f>$E$30*H5*$E$5</f>
        <v>4.4961</v>
      </c>
      <c r="I30" s="11">
        <f>$E$30*I5*$E$5</f>
        <v>4.4961</v>
      </c>
      <c r="J30" s="11">
        <f>$E$30*J5*$E$5</f>
        <v>4.4961</v>
      </c>
      <c r="K30" s="11">
        <f>$E$30*K5*$E$5</f>
        <v>4.4961</v>
      </c>
      <c r="L30" s="11">
        <f>$E$30*L5*$E$5</f>
        <v>4.4961</v>
      </c>
      <c r="M30" s="11">
        <f>$E$30*M5*$E$5</f>
        <v>4.4961</v>
      </c>
      <c r="N30" s="11">
        <f>$E$30*N5*$E$5</f>
        <v>4.4961</v>
      </c>
      <c r="O30" s="11">
        <f>$E$30*O5*$E$5</f>
        <v>4.4961</v>
      </c>
      <c r="P30" s="11">
        <f t="shared" si="5"/>
        <v>38.216849999999994</v>
      </c>
      <c r="Q30" s="11">
        <f t="shared" si="2"/>
        <v>28.396644796060215</v>
      </c>
      <c r="R30" s="11">
        <f>P30/($C$40/$C$41)</f>
        <v>4.949256915768613</v>
      </c>
      <c r="S30" s="3"/>
    </row>
    <row r="31" spans="1:19" ht="15">
      <c r="A31" s="5"/>
      <c r="B31" s="5"/>
      <c r="C31" s="5"/>
      <c r="D31" s="5"/>
      <c r="E31" s="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3"/>
    </row>
    <row r="32" spans="1:19" ht="15">
      <c r="A32" s="21" t="s">
        <v>48</v>
      </c>
      <c r="B32" s="21"/>
      <c r="C32" s="21"/>
      <c r="D32" s="21"/>
      <c r="E32" s="21"/>
      <c r="F32" s="22">
        <f>SUM(F$8:F$30)*-1</f>
        <v>-560.4550750000001</v>
      </c>
      <c r="G32" s="22">
        <f>SUM(G$8:G$30)*-1</f>
        <v>-54.10655416666667</v>
      </c>
      <c r="H32" s="22">
        <f aca="true" t="shared" si="8" ref="H32:P32">SUM(H$8:H$30)*-1</f>
        <v>-63.10503333333333</v>
      </c>
      <c r="I32" s="22">
        <f t="shared" si="8"/>
        <v>-82.44757083333333</v>
      </c>
      <c r="J32" s="22">
        <f t="shared" si="8"/>
        <v>-63.10503333333333</v>
      </c>
      <c r="K32" s="22">
        <f t="shared" si="8"/>
        <v>-82.44757083333333</v>
      </c>
      <c r="L32" s="22">
        <f t="shared" si="8"/>
        <v>-63.10503333333333</v>
      </c>
      <c r="M32" s="22">
        <f t="shared" si="8"/>
        <v>-82.44757083333333</v>
      </c>
      <c r="N32" s="22">
        <f t="shared" si="8"/>
        <v>-63.10503333333333</v>
      </c>
      <c r="O32" s="22">
        <f t="shared" si="8"/>
        <v>-82.44757083333333</v>
      </c>
      <c r="P32" s="22">
        <f t="shared" si="8"/>
        <v>-1196.7720458333333</v>
      </c>
      <c r="Q32" s="22">
        <f>NPV(C38,F32:O32)</f>
        <v>-1008.098444213522</v>
      </c>
      <c r="R32" s="22">
        <f>P32/($C$40/$C$41)</f>
        <v>-154.9874551261859</v>
      </c>
      <c r="S32" s="3"/>
    </row>
    <row r="33" spans="1:19" ht="15">
      <c r="A33" s="1" t="s">
        <v>49</v>
      </c>
      <c r="B33" s="1"/>
      <c r="C33" s="1"/>
      <c r="D33" s="1"/>
      <c r="E33" s="1"/>
      <c r="F33" s="11">
        <f>F6+F32</f>
        <v>-560.4550750000001</v>
      </c>
      <c r="G33" s="11">
        <f>G6+G32</f>
        <v>10.123445833333335</v>
      </c>
      <c r="H33" s="11">
        <f>H6+H32</f>
        <v>65.35496666666668</v>
      </c>
      <c r="I33" s="11">
        <f>I6+I32</f>
        <v>46.01242916666668</v>
      </c>
      <c r="J33" s="11">
        <f>J6+J32</f>
        <v>65.35496666666668</v>
      </c>
      <c r="K33" s="11">
        <f>K6+K32</f>
        <v>46.01242916666668</v>
      </c>
      <c r="L33" s="11">
        <f>L6+L32</f>
        <v>65.35496666666668</v>
      </c>
      <c r="M33" s="11">
        <f>M6+M32</f>
        <v>46.01242916666668</v>
      </c>
      <c r="N33" s="11">
        <f>N6+N32</f>
        <v>65.35496666666668</v>
      </c>
      <c r="O33" s="11">
        <f>O6+O32</f>
        <v>46.01242916666668</v>
      </c>
      <c r="P33" s="11">
        <f>P6+P32</f>
        <v>-104.86204583333324</v>
      </c>
      <c r="Q33" s="11">
        <f>NPV(C38,F33:O33)</f>
        <v>-196.76573575465895</v>
      </c>
      <c r="R33" s="11">
        <f>P33/($C$40/$C$41)</f>
        <v>-13.58011467565406</v>
      </c>
      <c r="S33" s="3"/>
    </row>
    <row r="34" spans="1:17" ht="15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3" t="s">
        <v>50</v>
      </c>
      <c r="D35" s="3" t="s">
        <v>51</v>
      </c>
      <c r="F35" s="23">
        <v>0.71</v>
      </c>
      <c r="G35" s="23">
        <v>2.2</v>
      </c>
      <c r="H35" s="23">
        <v>1.91</v>
      </c>
      <c r="I35" s="23">
        <v>2.2</v>
      </c>
      <c r="J35" s="23">
        <v>1.91</v>
      </c>
      <c r="K35" s="23">
        <v>2.2</v>
      </c>
      <c r="L35" s="23">
        <v>1.91</v>
      </c>
      <c r="M35" s="23">
        <v>2.2</v>
      </c>
      <c r="N35" s="23">
        <v>1.91</v>
      </c>
      <c r="O35" s="24">
        <v>2.2</v>
      </c>
      <c r="P35" s="24"/>
      <c r="Q35" s="24"/>
    </row>
    <row r="37" ht="15">
      <c r="A37" s="3" t="s">
        <v>52</v>
      </c>
    </row>
    <row r="38" spans="2:3" ht="15">
      <c r="B38" s="3" t="s">
        <v>53</v>
      </c>
      <c r="C38" s="25">
        <v>0.05</v>
      </c>
    </row>
    <row r="39" spans="2:3" ht="15">
      <c r="B39" s="3" t="s">
        <v>54</v>
      </c>
      <c r="C39" s="3">
        <v>10</v>
      </c>
    </row>
    <row r="40" spans="2:11" ht="15">
      <c r="B40" s="3" t="s">
        <v>55</v>
      </c>
      <c r="C40" s="19">
        <v>0.6288946267774416</v>
      </c>
      <c r="K40" s="26" t="s">
        <v>56</v>
      </c>
    </row>
    <row r="41" spans="2:11" ht="15">
      <c r="B41" s="3" t="s">
        <v>57</v>
      </c>
      <c r="C41" s="19">
        <v>0.08144473133887209</v>
      </c>
      <c r="K41" s="26" t="s">
        <v>58</v>
      </c>
    </row>
  </sheetData>
  <sheetProtection/>
  <printOptions/>
  <pageMargins left="0.7" right="0.7" top="0.75" bottom="0.75" header="0.3" footer="0.3"/>
  <pageSetup fitToHeight="1" fitToWidth="1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Pennington</dc:creator>
  <cp:keywords/>
  <dc:description/>
  <cp:lastModifiedBy>Dennis Pennington</cp:lastModifiedBy>
  <dcterms:created xsi:type="dcterms:W3CDTF">2010-01-05T15:43:11Z</dcterms:created>
  <dcterms:modified xsi:type="dcterms:W3CDTF">2010-01-05T15:43:21Z</dcterms:modified>
  <cp:category/>
  <cp:version/>
  <cp:contentType/>
  <cp:contentStatus/>
</cp:coreProperties>
</file>